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D6" authorId="0">
      <text>
        <r>
          <rPr>
            <sz val="10"/>
            <rFont val="Arial"/>
            <family val="2"/>
          </rPr>
          <t xml:space="preserve">PRVI IZSTAVLJENI RAČUN</t>
        </r>
      </text>
    </comment>
  </commentList>
</comments>
</file>

<file path=xl/sharedStrings.xml><?xml version="1.0" encoding="utf-8"?>
<sst xmlns="http://schemas.openxmlformats.org/spreadsheetml/2006/main" count="25" uniqueCount="25">
  <si>
    <t xml:space="preserve">DDV stopnja:</t>
  </si>
  <si>
    <t xml:space="preserve">številka računa</t>
  </si>
  <si>
    <t xml:space="preserve">datum izstavitve
 računa</t>
  </si>
  <si>
    <t xml:space="preserve">datum zapadlosti
 plačila</t>
  </si>
  <si>
    <t xml:space="preserve">vrednost
računa</t>
  </si>
  <si>
    <t xml:space="preserve">znesek računa</t>
  </si>
  <si>
    <t xml:space="preserve">datum plačila</t>
  </si>
  <si>
    <t xml:space="preserve">delež
zneska</t>
  </si>
  <si>
    <t xml:space="preserve">pod/nadpovprečen</t>
  </si>
  <si>
    <t xml:space="preserve">hitro
plačilo</t>
  </si>
  <si>
    <t xml:space="preserve">število
dni</t>
  </si>
  <si>
    <t xml:space="preserve">Rezultat</t>
  </si>
  <si>
    <t xml:space="preserve">Status plačila</t>
  </si>
  <si>
    <t xml:space="preserve">Število računov</t>
  </si>
  <si>
    <t xml:space="preserve">število vseh računov</t>
  </si>
  <si>
    <t xml:space="preserve">Plačano pred rokom (hitro)</t>
  </si>
  <si>
    <t xml:space="preserve">Najmanjši znesek računa</t>
  </si>
  <si>
    <t xml:space="preserve">Plačano točno na datum</t>
  </si>
  <si>
    <t xml:space="preserve">Največja številka računa</t>
  </si>
  <si>
    <t xml:space="preserve">Plačano po roku</t>
  </si>
  <si>
    <t xml:space="preserve">celotni znesek</t>
  </si>
  <si>
    <t xml:space="preserve">povprečje (delež zneska)</t>
  </si>
  <si>
    <t xml:space="preserve">število vseh računov, ki so višji od popvrečne vrednosti računov</t>
  </si>
  <si>
    <t xml:space="preserve">izračunaj število dni, ko se je račun plačal pred datumom zapadlost</t>
  </si>
  <si>
    <t xml:space="preserve">izračunaj število mesecev med izdanim prvim in zadnjim računom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</si>
</sst>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dd\.mm\.yyyy"/>
    <numFmt numFmtId="167" formatCode="#,##0.00&quot; €&quot;"/>
    <numFmt numFmtId="168" formatCode="0.00%"/>
    <numFmt numFmtId="169" formatCode="0"/>
    <numFmt numFmtId="170" formatCode="General"/>
  </numFmts>
  <fonts count="10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b val="true"/>
      <sz val="11"/>
      <color theme="1"/>
      <name val="Calibri"/>
      <family val="2"/>
      <charset val="238"/>
    </font>
    <font>
      <sz val="10"/>
      <name val="Arial"/>
      <family val="2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Znesek računov po računih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List1!H5</c:f>
              <c:strCache>
                <c:ptCount val="1"/>
                <c:pt idx="0">
                  <c:v>znesek računa</c:v>
                </c:pt>
              </c:strCache>
            </c:strRef>
          </c:tx>
          <c:spPr>
            <a:solidFill>
              <a:srgbClr val="4472c4"/>
            </a:solidFill>
            <a:ln w="6480">
              <a:solidFill>
                <a:srgbClr val="ffffff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List1!$D$6:$D$25</c:f>
              <c:strCache>
                <c:ptCount val="20"/>
                <c:pt idx="0">
                  <c:v>7714</c:v>
                </c:pt>
                <c:pt idx="1">
                  <c:v>7798</c:v>
                </c:pt>
                <c:pt idx="2">
                  <c:v>7654</c:v>
                </c:pt>
                <c:pt idx="3">
                  <c:v>7618</c:v>
                </c:pt>
                <c:pt idx="4">
                  <c:v>7630</c:v>
                </c:pt>
                <c:pt idx="5">
                  <c:v>7750</c:v>
                </c:pt>
                <c:pt idx="6">
                  <c:v>7642</c:v>
                </c:pt>
                <c:pt idx="7">
                  <c:v>7774</c:v>
                </c:pt>
                <c:pt idx="8">
                  <c:v>7582</c:v>
                </c:pt>
                <c:pt idx="9">
                  <c:v>7762</c:v>
                </c:pt>
                <c:pt idx="10">
                  <c:v>7702</c:v>
                </c:pt>
                <c:pt idx="11">
                  <c:v>7786</c:v>
                </c:pt>
                <c:pt idx="12">
                  <c:v>7690</c:v>
                </c:pt>
                <c:pt idx="13">
                  <c:v>7666</c:v>
                </c:pt>
                <c:pt idx="14">
                  <c:v>7678</c:v>
                </c:pt>
                <c:pt idx="15">
                  <c:v>7726</c:v>
                </c:pt>
                <c:pt idx="16">
                  <c:v>7606</c:v>
                </c:pt>
                <c:pt idx="17">
                  <c:v>7810</c:v>
                </c:pt>
                <c:pt idx="18">
                  <c:v>7594</c:v>
                </c:pt>
                <c:pt idx="19">
                  <c:v>7738</c:v>
                </c:pt>
              </c:strCache>
            </c:strRef>
          </c:cat>
          <c:val>
            <c:numRef>
              <c:f>List1!$H$6:$H$25</c:f>
              <c:numCache>
                <c:formatCode>#,##0.00" €"</c:formatCode>
                <c:ptCount val="20"/>
                <c:pt idx="0">
                  <c:v>33</c:v>
                </c:pt>
                <c:pt idx="1">
                  <c:v>47</c:v>
                </c:pt>
                <c:pt idx="2">
                  <c:v>40</c:v>
                </c:pt>
                <c:pt idx="3">
                  <c:v>45</c:v>
                </c:pt>
                <c:pt idx="4">
                  <c:v>36</c:v>
                </c:pt>
                <c:pt idx="5">
                  <c:v>28</c:v>
                </c:pt>
                <c:pt idx="6">
                  <c:v>29</c:v>
                </c:pt>
                <c:pt idx="7">
                  <c:v>27</c:v>
                </c:pt>
                <c:pt idx="8">
                  <c:v>41</c:v>
                </c:pt>
                <c:pt idx="9">
                  <c:v>46</c:v>
                </c:pt>
                <c:pt idx="10">
                  <c:v>34</c:v>
                </c:pt>
                <c:pt idx="11">
                  <c:v>47</c:v>
                </c:pt>
                <c:pt idx="12">
                  <c:v>31</c:v>
                </c:pt>
                <c:pt idx="13">
                  <c:v>54</c:v>
                </c:pt>
                <c:pt idx="14">
                  <c:v>47</c:v>
                </c:pt>
                <c:pt idx="15">
                  <c:v>46</c:v>
                </c:pt>
                <c:pt idx="16">
                  <c:v>34</c:v>
                </c:pt>
                <c:pt idx="17">
                  <c:v>43</c:v>
                </c:pt>
                <c:pt idx="18">
                  <c:v>26</c:v>
                </c:pt>
                <c:pt idx="19">
                  <c:v>52</c:v>
                </c:pt>
              </c:numCache>
            </c:numRef>
          </c:val>
        </c:ser>
        <c:gapWidth val="150"/>
        <c:overlap val="0"/>
        <c:axId val="92292071"/>
        <c:axId val="22778067"/>
      </c:barChart>
      <c:catAx>
        <c:axId val="9229207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Številka računa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2778067"/>
        <c:crosses val="autoZero"/>
        <c:auto val="1"/>
        <c:lblAlgn val="ctr"/>
        <c:lblOffset val="100"/>
        <c:noMultiLvlLbl val="0"/>
      </c:catAx>
      <c:valAx>
        <c:axId val="22778067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Znesek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" sourceLinked="1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29207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39</xdr:row>
      <xdr:rowOff>0</xdr:rowOff>
    </xdr:from>
    <xdr:to>
      <xdr:col>7</xdr:col>
      <xdr:colOff>1057320</xdr:colOff>
      <xdr:row>61</xdr:row>
      <xdr:rowOff>128520</xdr:rowOff>
    </xdr:to>
    <xdr:graphicFrame>
      <xdr:nvGraphicFramePr>
        <xdr:cNvPr id="0" name="Chart 1"/>
        <xdr:cNvGraphicFramePr/>
      </xdr:nvGraphicFramePr>
      <xdr:xfrm>
        <a:off x="1834560" y="10496520"/>
        <a:ext cx="719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ova tema">
  <a:themeElements>
    <a:clrScheme name="Pisarn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M3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I5" activeCellId="0" sqref="I5"/>
    </sheetView>
  </sheetViews>
  <sheetFormatPr defaultColWidth="8.6796875" defaultRowHeight="15" zeroHeight="false" outlineLevelRow="0" outlineLevelCol="0"/>
  <cols>
    <col collapsed="false" customWidth="true" hidden="false" outlineLevel="0" max="4" min="4" style="0" width="14.29"/>
    <col collapsed="false" customWidth="true" hidden="false" outlineLevel="0" max="5" min="5" style="0" width="22.29"/>
    <col collapsed="false" customWidth="true" hidden="false" outlineLevel="0" max="6" min="6" style="0" width="22.57"/>
    <col collapsed="false" customWidth="true" hidden="false" outlineLevel="0" max="7" min="7" style="0" width="28"/>
    <col collapsed="false" customWidth="true" hidden="false" outlineLevel="0" max="8" min="8" style="0" width="18"/>
    <col collapsed="false" customWidth="true" hidden="false" outlineLevel="0" max="9" min="9" style="0" width="10.14"/>
    <col collapsed="false" customWidth="true" hidden="false" outlineLevel="0" max="10" min="10" style="0" width="10"/>
    <col collapsed="false" customWidth="true" hidden="false" outlineLevel="0" max="11" min="11" style="0" width="18"/>
    <col collapsed="false" customWidth="true" hidden="false" outlineLevel="0" max="12" min="12" style="0" width="14"/>
    <col collapsed="false" customWidth="true" hidden="false" outlineLevel="0" max="13" min="13" style="0" width="11"/>
  </cols>
  <sheetData>
    <row r="3" customFormat="false" ht="15" hidden="false" customHeight="false" outlineLevel="0" collapsed="false">
      <c r="E3" s="1" t="s">
        <v>0</v>
      </c>
      <c r="F3" s="2" t="n">
        <v>0.22</v>
      </c>
    </row>
    <row r="4" customFormat="false" ht="15.75" hidden="false" customHeight="true" outlineLevel="0" collapsed="false"/>
    <row r="5" customFormat="false" ht="30" hidden="false" customHeight="true" outlineLevel="0" collapsed="false">
      <c r="D5" s="3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  <c r="M5" s="5" t="s">
        <v>10</v>
      </c>
    </row>
    <row r="6" customFormat="false" ht="15" hidden="false" customHeight="false" outlineLevel="0" collapsed="false">
      <c r="D6" s="6" t="n">
        <v>7714</v>
      </c>
      <c r="E6" s="7" t="n">
        <v>43286</v>
      </c>
      <c r="F6" s="8" t="n">
        <v>43297</v>
      </c>
      <c r="G6" s="9" t="n">
        <f aca="false">H6*(1+$F$3)</f>
        <v>40.26</v>
      </c>
      <c r="H6" s="9" t="n">
        <v>33</v>
      </c>
      <c r="I6" s="8" t="n">
        <v>43298</v>
      </c>
      <c r="J6" s="10" t="n">
        <f aca="false">H6/SUM($H$6:$H$25)</f>
        <v>0.0419847328244275</v>
      </c>
      <c r="K6" s="11" t="str">
        <f aca="false">IF(H6&lt;AVERAGE($H$6:$H$25),"podpovprečen","nadpovprečen")</f>
        <v>podpovprečen</v>
      </c>
      <c r="L6" s="11" t="str">
        <f aca="false">IF(M6=MIN($M$6:$M$25),"hitro plačilo","")</f>
        <v/>
      </c>
      <c r="M6" s="12" t="n">
        <f aca="false">I6-F6</f>
        <v>1</v>
      </c>
    </row>
    <row r="7" customFormat="false" ht="15" hidden="false" customHeight="false" outlineLevel="0" collapsed="false">
      <c r="D7" s="13" t="n">
        <v>7798</v>
      </c>
      <c r="E7" s="7" t="n">
        <f aca="false">$E$6+15*(7-6)</f>
        <v>43301</v>
      </c>
      <c r="F7" s="8" t="n">
        <f aca="false">E7+11</f>
        <v>43312</v>
      </c>
      <c r="G7" s="9" t="n">
        <f aca="false">H7*(1+$F$3)</f>
        <v>57.34</v>
      </c>
      <c r="H7" s="9" t="n">
        <v>47</v>
      </c>
      <c r="I7" s="8" t="n">
        <v>43312</v>
      </c>
      <c r="J7" s="10" t="n">
        <f aca="false">H7/SUM($H$6:$H$25)</f>
        <v>0.0597964376590331</v>
      </c>
      <c r="K7" s="11" t="str">
        <f aca="false">IF(H7&lt;AVERAGE($H$6:$H$25),"podpovprečen","nadpovprečen")</f>
        <v>nadpovprečen</v>
      </c>
      <c r="L7" s="11" t="str">
        <f aca="false">IF(M7=MIN($M$6:$M$25),"hitro plačilo","")</f>
        <v/>
      </c>
      <c r="M7" s="12" t="n">
        <f aca="false">I7-F7</f>
        <v>0</v>
      </c>
    </row>
    <row r="8" customFormat="false" ht="15" hidden="false" customHeight="false" outlineLevel="0" collapsed="false">
      <c r="D8" s="13" t="n">
        <v>7654</v>
      </c>
      <c r="E8" s="7" t="n">
        <f aca="false">$E$6+15*(8-6)</f>
        <v>43316</v>
      </c>
      <c r="F8" s="8" t="n">
        <f aca="false">E8+11</f>
        <v>43327</v>
      </c>
      <c r="G8" s="9" t="n">
        <f aca="false">H8*(1+$F$3)</f>
        <v>48.8</v>
      </c>
      <c r="H8" s="9" t="n">
        <v>40</v>
      </c>
      <c r="I8" s="8" t="n">
        <v>43326</v>
      </c>
      <c r="J8" s="10" t="n">
        <f aca="false">H8/SUM($H$6:$H$25)</f>
        <v>0.0508905852417303</v>
      </c>
      <c r="K8" s="11" t="str">
        <f aca="false">IF(H8&lt;AVERAGE($H$6:$H$25),"podpovprečen","nadpovprečen")</f>
        <v>nadpovprečen</v>
      </c>
      <c r="L8" s="11" t="str">
        <f aca="false">IF(M8=MIN($M$6:$M$25),"hitro plačilo","")</f>
        <v/>
      </c>
      <c r="M8" s="12" t="n">
        <f aca="false">I8-F8</f>
        <v>-1</v>
      </c>
    </row>
    <row r="9" customFormat="false" ht="15" hidden="false" customHeight="false" outlineLevel="0" collapsed="false">
      <c r="D9" s="13" t="n">
        <v>7618</v>
      </c>
      <c r="E9" s="7" t="n">
        <f aca="false">$E$6+15*(9-6)</f>
        <v>43331</v>
      </c>
      <c r="F9" s="8" t="n">
        <f aca="false">E9+11</f>
        <v>43342</v>
      </c>
      <c r="G9" s="9" t="n">
        <f aca="false">H9*(1+$F$3)</f>
        <v>54.9</v>
      </c>
      <c r="H9" s="9" t="n">
        <v>45</v>
      </c>
      <c r="I9" s="8" t="n">
        <v>43346</v>
      </c>
      <c r="J9" s="10" t="n">
        <f aca="false">H9/SUM($H$6:$H$25)</f>
        <v>0.0572519083969466</v>
      </c>
      <c r="K9" s="11" t="str">
        <f aca="false">IF(H9&lt;AVERAGE($H$6:$H$25),"podpovprečen","nadpovprečen")</f>
        <v>nadpovprečen</v>
      </c>
      <c r="L9" s="11" t="str">
        <f aca="false">IF(M9=MIN($M$6:$M$25),"hitro plačilo","")</f>
        <v/>
      </c>
      <c r="M9" s="12" t="n">
        <f aca="false">I9-F9</f>
        <v>4</v>
      </c>
    </row>
    <row r="10" customFormat="false" ht="15" hidden="false" customHeight="false" outlineLevel="0" collapsed="false">
      <c r="D10" s="13" t="n">
        <v>7630</v>
      </c>
      <c r="E10" s="7" t="n">
        <f aca="false">$E$6+15*(10-6)</f>
        <v>43346</v>
      </c>
      <c r="F10" s="8" t="n">
        <f aca="false">E10+11</f>
        <v>43357</v>
      </c>
      <c r="G10" s="9" t="n">
        <f aca="false">H10*(1+$F$3)</f>
        <v>43.92</v>
      </c>
      <c r="H10" s="9" t="n">
        <v>36</v>
      </c>
      <c r="I10" s="8" t="n">
        <v>43361</v>
      </c>
      <c r="J10" s="10" t="n">
        <f aca="false">H10/SUM($H$6:$H$25)</f>
        <v>0.0458015267175573</v>
      </c>
      <c r="K10" s="11" t="str">
        <f aca="false">IF(H10&lt;AVERAGE($H$6:$H$25),"podpovprečen","nadpovprečen")</f>
        <v>podpovprečen</v>
      </c>
      <c r="L10" s="11" t="str">
        <f aca="false">IF(M10=MIN($M$6:$M$25),"hitro plačilo","")</f>
        <v/>
      </c>
      <c r="M10" s="12" t="n">
        <f aca="false">I10-F10</f>
        <v>4</v>
      </c>
    </row>
    <row r="11" customFormat="false" ht="15" hidden="false" customHeight="false" outlineLevel="0" collapsed="false">
      <c r="D11" s="13" t="n">
        <v>7750</v>
      </c>
      <c r="E11" s="7" t="n">
        <f aca="false">$E$6+15*(11-6)</f>
        <v>43361</v>
      </c>
      <c r="F11" s="8" t="n">
        <f aca="false">E11+11</f>
        <v>43372</v>
      </c>
      <c r="G11" s="9" t="n">
        <f aca="false">H11*(1+$F$3)</f>
        <v>34.16</v>
      </c>
      <c r="H11" s="9" t="n">
        <v>28</v>
      </c>
      <c r="I11" s="8" t="n">
        <v>43374</v>
      </c>
      <c r="J11" s="10" t="n">
        <f aca="false">H11/SUM($H$6:$H$25)</f>
        <v>0.0356234096692112</v>
      </c>
      <c r="K11" s="11" t="str">
        <f aca="false">IF(H11&lt;AVERAGE($H$6:$H$25),"podpovprečen","nadpovprečen")</f>
        <v>podpovprečen</v>
      </c>
      <c r="L11" s="11" t="str">
        <f aca="false">IF(M11=MIN($M$6:$M$25),"hitro plačilo","")</f>
        <v/>
      </c>
      <c r="M11" s="12" t="n">
        <f aca="false">I11-F11</f>
        <v>2</v>
      </c>
    </row>
    <row r="12" customFormat="false" ht="15" hidden="false" customHeight="false" outlineLevel="0" collapsed="false">
      <c r="D12" s="13" t="n">
        <v>7642</v>
      </c>
      <c r="E12" s="7" t="n">
        <f aca="false">$E$6+15*(12-6)</f>
        <v>43376</v>
      </c>
      <c r="F12" s="8" t="n">
        <f aca="false">E12+11</f>
        <v>43387</v>
      </c>
      <c r="G12" s="9" t="n">
        <f aca="false">H12*(1+$F$3)</f>
        <v>35.38</v>
      </c>
      <c r="H12" s="9" t="n">
        <v>29</v>
      </c>
      <c r="I12" s="8" t="n">
        <v>43390</v>
      </c>
      <c r="J12" s="10" t="n">
        <f aca="false">H12/SUM($H$6:$H$25)</f>
        <v>0.0368956743002545</v>
      </c>
      <c r="K12" s="11" t="str">
        <f aca="false">IF(H12&lt;AVERAGE($H$6:$H$25),"podpovprečen","nadpovprečen")</f>
        <v>podpovprečen</v>
      </c>
      <c r="L12" s="11" t="str">
        <f aca="false">IF(M12=MIN($M$6:$M$25),"hitro plačilo","")</f>
        <v/>
      </c>
      <c r="M12" s="12" t="n">
        <f aca="false">I12-F12</f>
        <v>3</v>
      </c>
    </row>
    <row r="13" customFormat="false" ht="15" hidden="false" customHeight="false" outlineLevel="0" collapsed="false">
      <c r="D13" s="13" t="n">
        <v>7774</v>
      </c>
      <c r="E13" s="7" t="n">
        <f aca="false">$E$6+15*(13-6)</f>
        <v>43391</v>
      </c>
      <c r="F13" s="8" t="n">
        <f aca="false">E13+11</f>
        <v>43402</v>
      </c>
      <c r="G13" s="9" t="n">
        <f aca="false">H13*(1+$F$3)</f>
        <v>32.94</v>
      </c>
      <c r="H13" s="9" t="n">
        <v>27</v>
      </c>
      <c r="I13" s="8" t="n">
        <v>43404</v>
      </c>
      <c r="J13" s="10" t="n">
        <f aca="false">H13/SUM($H$6:$H$25)</f>
        <v>0.0343511450381679</v>
      </c>
      <c r="K13" s="11" t="str">
        <f aca="false">IF(H13&lt;AVERAGE($H$6:$H$25),"podpovprečen","nadpovprečen")</f>
        <v>podpovprečen</v>
      </c>
      <c r="L13" s="11" t="str">
        <f aca="false">IF(M13=MIN($M$6:$M$25),"hitro plačilo","")</f>
        <v/>
      </c>
      <c r="M13" s="12" t="n">
        <f aca="false">I13-F13</f>
        <v>2</v>
      </c>
    </row>
    <row r="14" customFormat="false" ht="15" hidden="false" customHeight="false" outlineLevel="0" collapsed="false">
      <c r="D14" s="13" t="n">
        <v>7582</v>
      </c>
      <c r="E14" s="7" t="n">
        <f aca="false">$E$6+15*(14-6)</f>
        <v>43406</v>
      </c>
      <c r="F14" s="8" t="n">
        <f aca="false">E14+11</f>
        <v>43417</v>
      </c>
      <c r="G14" s="9" t="n">
        <f aca="false">H14*(1+$F$3)</f>
        <v>50.02</v>
      </c>
      <c r="H14" s="9" t="n">
        <v>41</v>
      </c>
      <c r="I14" s="8" t="n">
        <v>43419</v>
      </c>
      <c r="J14" s="10" t="n">
        <f aca="false">H14/SUM($H$6:$H$25)</f>
        <v>0.0521628498727735</v>
      </c>
      <c r="K14" s="11" t="str">
        <f aca="false">IF(H14&lt;AVERAGE($H$6:$H$25),"podpovprečen","nadpovprečen")</f>
        <v>nadpovprečen</v>
      </c>
      <c r="L14" s="11" t="str">
        <f aca="false">IF(M14=MIN($M$6:$M$25),"hitro plačilo","")</f>
        <v/>
      </c>
      <c r="M14" s="12" t="n">
        <f aca="false">I14-F14</f>
        <v>2</v>
      </c>
    </row>
    <row r="15" customFormat="false" ht="15" hidden="false" customHeight="false" outlineLevel="0" collapsed="false">
      <c r="D15" s="13" t="n">
        <v>7762</v>
      </c>
      <c r="E15" s="7" t="n">
        <f aca="false">$E$6+15*(15-6)</f>
        <v>43421</v>
      </c>
      <c r="F15" s="8" t="n">
        <f aca="false">E15+11</f>
        <v>43432</v>
      </c>
      <c r="G15" s="9" t="n">
        <f aca="false">H15*(1+$F$3)</f>
        <v>56.12</v>
      </c>
      <c r="H15" s="9" t="n">
        <v>46</v>
      </c>
      <c r="I15" s="8" t="n">
        <v>43432</v>
      </c>
      <c r="J15" s="10" t="n">
        <f aca="false">H15/SUM($H$6:$H$25)</f>
        <v>0.0585241730279898</v>
      </c>
      <c r="K15" s="11" t="str">
        <f aca="false">IF(H15&lt;AVERAGE($H$6:$H$25),"podpovprečen","nadpovprečen")</f>
        <v>nadpovprečen</v>
      </c>
      <c r="L15" s="11" t="str">
        <f aca="false">IF(M15=MIN($M$6:$M$25),"hitro plačilo","")</f>
        <v/>
      </c>
      <c r="M15" s="12" t="n">
        <f aca="false">I15-F15</f>
        <v>0</v>
      </c>
    </row>
    <row r="16" customFormat="false" ht="15" hidden="false" customHeight="false" outlineLevel="0" collapsed="false">
      <c r="D16" s="13" t="n">
        <v>7702</v>
      </c>
      <c r="E16" s="7" t="n">
        <f aca="false">$E$6+15*(16-6)</f>
        <v>43436</v>
      </c>
      <c r="F16" s="8" t="n">
        <f aca="false">E16+11</f>
        <v>43447</v>
      </c>
      <c r="G16" s="9" t="n">
        <f aca="false">H16*(1+$F$3)</f>
        <v>41.48</v>
      </c>
      <c r="H16" s="9" t="n">
        <v>34</v>
      </c>
      <c r="I16" s="8" t="n">
        <v>43439</v>
      </c>
      <c r="J16" s="10" t="n">
        <f aca="false">H16/SUM($H$6:$H$25)</f>
        <v>0.0432569974554707</v>
      </c>
      <c r="K16" s="11" t="str">
        <f aca="false">IF(H16&lt;AVERAGE($H$6:$H$25),"podpovprečen","nadpovprečen")</f>
        <v>podpovprečen</v>
      </c>
      <c r="L16" s="11" t="str">
        <f aca="false">IF(M16=MIN($M$6:$M$25),"hitro plačilo","")</f>
        <v>hitro plačilo</v>
      </c>
      <c r="M16" s="12" t="n">
        <f aca="false">I16-F16</f>
        <v>-8</v>
      </c>
    </row>
    <row r="17" customFormat="false" ht="15" hidden="false" customHeight="false" outlineLevel="0" collapsed="false">
      <c r="D17" s="13" t="n">
        <v>7786</v>
      </c>
      <c r="E17" s="7" t="n">
        <f aca="false">$E$6+15*(17-6)</f>
        <v>43451</v>
      </c>
      <c r="F17" s="8" t="n">
        <f aca="false">E17+11</f>
        <v>43462</v>
      </c>
      <c r="G17" s="9" t="n">
        <f aca="false">H17*(1+$F$3)</f>
        <v>57.34</v>
      </c>
      <c r="H17" s="9" t="n">
        <v>47</v>
      </c>
      <c r="I17" s="8" t="n">
        <v>43466</v>
      </c>
      <c r="J17" s="10" t="n">
        <f aca="false">H17/SUM($H$6:$H$25)</f>
        <v>0.0597964376590331</v>
      </c>
      <c r="K17" s="11" t="str">
        <f aca="false">IF(H17&lt;AVERAGE($H$6:$H$25),"podpovprečen","nadpovprečen")</f>
        <v>nadpovprečen</v>
      </c>
      <c r="L17" s="11" t="str">
        <f aca="false">IF(M17=MIN($M$6:$M$25),"hitro plačilo","")</f>
        <v/>
      </c>
      <c r="M17" s="12" t="n">
        <f aca="false">I17-F17</f>
        <v>4</v>
      </c>
    </row>
    <row r="18" customFormat="false" ht="15" hidden="false" customHeight="false" outlineLevel="0" collapsed="false">
      <c r="D18" s="13" t="n">
        <v>7690</v>
      </c>
      <c r="E18" s="7" t="n">
        <f aca="false">$E$6+15*(18-6)</f>
        <v>43466</v>
      </c>
      <c r="F18" s="8" t="n">
        <f aca="false">E18+11</f>
        <v>43477</v>
      </c>
      <c r="G18" s="9" t="n">
        <f aca="false">H18*(1+$F$3)</f>
        <v>37.82</v>
      </c>
      <c r="H18" s="9" t="n">
        <v>31</v>
      </c>
      <c r="I18" s="8" t="n">
        <v>43479</v>
      </c>
      <c r="J18" s="10" t="n">
        <f aca="false">H18/SUM($H$6:$H$25)</f>
        <v>0.039440203562341</v>
      </c>
      <c r="K18" s="11" t="str">
        <f aca="false">IF(H18&lt;AVERAGE($H$6:$H$25),"podpovprečen","nadpovprečen")</f>
        <v>podpovprečen</v>
      </c>
      <c r="L18" s="11" t="str">
        <f aca="false">IF(M18=MIN($M$6:$M$25),"hitro plačilo","")</f>
        <v/>
      </c>
      <c r="M18" s="12" t="n">
        <f aca="false">I18-F18</f>
        <v>2</v>
      </c>
    </row>
    <row r="19" customFormat="false" ht="15" hidden="false" customHeight="false" outlineLevel="0" collapsed="false">
      <c r="D19" s="13" t="n">
        <v>7666</v>
      </c>
      <c r="E19" s="7" t="n">
        <f aca="false">$E$6+15*(19-6)</f>
        <v>43481</v>
      </c>
      <c r="F19" s="8" t="n">
        <f aca="false">E19+11</f>
        <v>43492</v>
      </c>
      <c r="G19" s="9" t="n">
        <f aca="false">H19*(1+$F$3)</f>
        <v>65.88</v>
      </c>
      <c r="H19" s="9" t="n">
        <v>54</v>
      </c>
      <c r="I19" s="8" t="n">
        <v>43493</v>
      </c>
      <c r="J19" s="10" t="n">
        <f aca="false">H19/SUM($H$6:$H$25)</f>
        <v>0.0687022900763359</v>
      </c>
      <c r="K19" s="11" t="str">
        <f aca="false">IF(H19&lt;AVERAGE($H$6:$H$25),"podpovprečen","nadpovprečen")</f>
        <v>nadpovprečen</v>
      </c>
      <c r="L19" s="11" t="str">
        <f aca="false">IF(M19=MIN($M$6:$M$25),"hitro plačilo","")</f>
        <v/>
      </c>
      <c r="M19" s="12" t="n">
        <f aca="false">I19-F19</f>
        <v>1</v>
      </c>
    </row>
    <row r="20" customFormat="false" ht="15" hidden="false" customHeight="false" outlineLevel="0" collapsed="false">
      <c r="D20" s="13" t="n">
        <v>7678</v>
      </c>
      <c r="E20" s="7" t="n">
        <f aca="false">$E$6+15*(20-6)</f>
        <v>43496</v>
      </c>
      <c r="F20" s="8" t="n">
        <f aca="false">E20+11</f>
        <v>43507</v>
      </c>
      <c r="G20" s="9" t="n">
        <f aca="false">H20*(1+$F$3)</f>
        <v>57.34</v>
      </c>
      <c r="H20" s="9" t="n">
        <v>47</v>
      </c>
      <c r="I20" s="8" t="n">
        <v>43501</v>
      </c>
      <c r="J20" s="10" t="n">
        <f aca="false">H20/SUM($H$6:$H$25)</f>
        <v>0.0597964376590331</v>
      </c>
      <c r="K20" s="11" t="str">
        <f aca="false">IF(H20&lt;AVERAGE($H$6:$H$25),"podpovprečen","nadpovprečen")</f>
        <v>nadpovprečen</v>
      </c>
      <c r="L20" s="11" t="str">
        <f aca="false">IF(M20=MIN($M$6:$M$25),"hitro plačilo","")</f>
        <v/>
      </c>
      <c r="M20" s="12" t="n">
        <f aca="false">I20-F20</f>
        <v>-6</v>
      </c>
    </row>
    <row r="21" customFormat="false" ht="15" hidden="false" customHeight="false" outlineLevel="0" collapsed="false">
      <c r="D21" s="13" t="n">
        <v>7726</v>
      </c>
      <c r="E21" s="7" t="n">
        <f aca="false">$E$6+15*(21-6)</f>
        <v>43511</v>
      </c>
      <c r="F21" s="8" t="n">
        <f aca="false">E21+11</f>
        <v>43522</v>
      </c>
      <c r="G21" s="9" t="n">
        <f aca="false">H21*(1+$F$3)</f>
        <v>56.12</v>
      </c>
      <c r="H21" s="9" t="n">
        <v>46</v>
      </c>
      <c r="I21" s="8" t="n">
        <v>43526</v>
      </c>
      <c r="J21" s="10" t="n">
        <f aca="false">H21/SUM($H$6:$H$25)</f>
        <v>0.0585241730279898</v>
      </c>
      <c r="K21" s="11" t="str">
        <f aca="false">IF(H21&lt;AVERAGE($H$6:$H$25),"podpovprečen","nadpovprečen")</f>
        <v>nadpovprečen</v>
      </c>
      <c r="L21" s="11" t="str">
        <f aca="false">IF(M21=MIN($M$6:$M$25),"hitro plačilo","")</f>
        <v/>
      </c>
      <c r="M21" s="12" t="n">
        <f aca="false">I21-F21</f>
        <v>4</v>
      </c>
    </row>
    <row r="22" customFormat="false" ht="15" hidden="false" customHeight="false" outlineLevel="0" collapsed="false">
      <c r="D22" s="13" t="n">
        <v>7606</v>
      </c>
      <c r="E22" s="7" t="n">
        <f aca="false">$E$6+15*(22-6)</f>
        <v>43526</v>
      </c>
      <c r="F22" s="8" t="n">
        <f aca="false">E22+11</f>
        <v>43537</v>
      </c>
      <c r="G22" s="9" t="n">
        <f aca="false">H22*(1+$F$3)</f>
        <v>41.48</v>
      </c>
      <c r="H22" s="9" t="n">
        <v>34</v>
      </c>
      <c r="I22" s="8" t="n">
        <v>43537</v>
      </c>
      <c r="J22" s="10" t="n">
        <f aca="false">H22/SUM($H$6:$H$25)</f>
        <v>0.0432569974554707</v>
      </c>
      <c r="K22" s="11" t="str">
        <f aca="false">IF(H22&lt;AVERAGE($H$6:$H$25),"podpovprečen","nadpovprečen")</f>
        <v>podpovprečen</v>
      </c>
      <c r="L22" s="11" t="str">
        <f aca="false">IF(M22=MIN($M$6:$M$25),"hitro plačilo","")</f>
        <v/>
      </c>
      <c r="M22" s="12" t="n">
        <f aca="false">I22-F22</f>
        <v>0</v>
      </c>
    </row>
    <row r="23" customFormat="false" ht="15" hidden="false" customHeight="false" outlineLevel="0" collapsed="false">
      <c r="D23" s="13" t="n">
        <v>7810</v>
      </c>
      <c r="E23" s="7" t="n">
        <f aca="false">$E$6+15*(23-6)</f>
        <v>43541</v>
      </c>
      <c r="F23" s="8" t="n">
        <f aca="false">E23+11</f>
        <v>43552</v>
      </c>
      <c r="G23" s="9" t="n">
        <f aca="false">H23*(1+$F$3)</f>
        <v>52.46</v>
      </c>
      <c r="H23" s="9" t="n">
        <v>43</v>
      </c>
      <c r="I23" s="8" t="n">
        <v>43552</v>
      </c>
      <c r="J23" s="10" t="n">
        <f aca="false">H23/SUM($H$6:$H$25)</f>
        <v>0.0547073791348601</v>
      </c>
      <c r="K23" s="11" t="str">
        <f aca="false">IF(H23&lt;AVERAGE($H$6:$H$25),"podpovprečen","nadpovprečen")</f>
        <v>nadpovprečen</v>
      </c>
      <c r="L23" s="11" t="str">
        <f aca="false">IF(M23=MIN($M$6:$M$25),"hitro plačilo","")</f>
        <v/>
      </c>
      <c r="M23" s="12" t="n">
        <f aca="false">I23-F23</f>
        <v>0</v>
      </c>
    </row>
    <row r="24" customFormat="false" ht="15" hidden="false" customHeight="false" outlineLevel="0" collapsed="false">
      <c r="D24" s="13" t="n">
        <v>7594</v>
      </c>
      <c r="E24" s="7" t="n">
        <f aca="false">$E$6+15*(24-6)</f>
        <v>43556</v>
      </c>
      <c r="F24" s="8" t="n">
        <f aca="false">E24+11</f>
        <v>43567</v>
      </c>
      <c r="G24" s="9" t="n">
        <f aca="false">H24*(1+$F$3)</f>
        <v>31.72</v>
      </c>
      <c r="H24" s="9" t="n">
        <v>26</v>
      </c>
      <c r="I24" s="8" t="n">
        <v>43571</v>
      </c>
      <c r="J24" s="10" t="n">
        <f aca="false">H24/SUM($H$6:$H$25)</f>
        <v>0.0330788804071247</v>
      </c>
      <c r="K24" s="11" t="str">
        <f aca="false">IF(H24&lt;AVERAGE($H$6:$H$25),"podpovprečen","nadpovprečen")</f>
        <v>podpovprečen</v>
      </c>
      <c r="L24" s="11" t="str">
        <f aca="false">IF(M24=MIN($M$6:$M$25),"hitro plačilo","")</f>
        <v/>
      </c>
      <c r="M24" s="12" t="n">
        <f aca="false">I24-F24</f>
        <v>4</v>
      </c>
    </row>
    <row r="25" customFormat="false" ht="15.75" hidden="false" customHeight="true" outlineLevel="0" collapsed="false">
      <c r="D25" s="14" t="n">
        <v>7738</v>
      </c>
      <c r="E25" s="15" t="n">
        <f aca="false">$E$6+15*(25-6)</f>
        <v>43571</v>
      </c>
      <c r="F25" s="16" t="n">
        <f aca="false">E25+11</f>
        <v>43582</v>
      </c>
      <c r="G25" s="17" t="n">
        <f aca="false">H25*(1+$F$3)</f>
        <v>63.44</v>
      </c>
      <c r="H25" s="17" t="n">
        <v>52</v>
      </c>
      <c r="I25" s="8" t="n">
        <v>43587</v>
      </c>
      <c r="J25" s="18" t="n">
        <f aca="false">H25/SUM($H$6:$H$25)</f>
        <v>0.0661577608142494</v>
      </c>
      <c r="K25" s="19" t="str">
        <f aca="false">IF(H25&lt;AVERAGE($H$6:$H$25),"podpovprečen","nadpovprečen")</f>
        <v>nadpovprečen</v>
      </c>
      <c r="L25" s="19" t="str">
        <f aca="false">IF(M25=MIN($M$6:$M$25),"hitro plačilo","")</f>
        <v/>
      </c>
      <c r="M25" s="20" t="n">
        <f aca="false">I25-F25</f>
        <v>5</v>
      </c>
    </row>
    <row r="29" customFormat="false" ht="15" hidden="false" customHeight="false" outlineLevel="0" collapsed="false">
      <c r="E29" s="21" t="s">
        <v>11</v>
      </c>
      <c r="G29" s="22" t="s">
        <v>12</v>
      </c>
      <c r="H29" s="22" t="s">
        <v>13</v>
      </c>
    </row>
    <row r="30" customFormat="false" ht="15" hidden="false" customHeight="false" outlineLevel="0" collapsed="false">
      <c r="C30" s="0" t="n">
        <v>1</v>
      </c>
      <c r="D30" s="23" t="s">
        <v>14</v>
      </c>
      <c r="E30" s="24" t="n">
        <f aca="false">COUNT(H6:H25)</f>
        <v>20</v>
      </c>
      <c r="G30" s="25" t="s">
        <v>15</v>
      </c>
      <c r="H30" s="26" t="n">
        <f aca="false">COUNTIF($M$6:$M$25,"&lt;0")</f>
        <v>3</v>
      </c>
    </row>
    <row r="31" customFormat="false" ht="15" hidden="false" customHeight="false" outlineLevel="0" collapsed="false">
      <c r="C31" s="0" t="n">
        <v>2</v>
      </c>
      <c r="D31" s="23" t="s">
        <v>16</v>
      </c>
      <c r="E31" s="27" t="n">
        <f aca="false">MIN(H6:H25)</f>
        <v>26</v>
      </c>
      <c r="G31" s="25" t="s">
        <v>17</v>
      </c>
      <c r="H31" s="26" t="n">
        <f aca="false">COUNTIF($M$6:$M$25,"=0")</f>
        <v>4</v>
      </c>
    </row>
    <row r="32" customFormat="false" ht="15" hidden="false" customHeight="false" outlineLevel="0" collapsed="false">
      <c r="C32" s="0" t="n">
        <v>3</v>
      </c>
      <c r="D32" s="23" t="s">
        <v>18</v>
      </c>
      <c r="E32" s="24" t="n">
        <f aca="false">MAX(D6:D25)</f>
        <v>7810</v>
      </c>
      <c r="G32" s="28" t="s">
        <v>19</v>
      </c>
      <c r="H32" s="29" t="n">
        <f aca="false">COUNTIF($M$6:$M$25,"&gt;0")</f>
        <v>13</v>
      </c>
    </row>
    <row r="33" customFormat="false" ht="15" hidden="false" customHeight="false" outlineLevel="0" collapsed="false">
      <c r="C33" s="0" t="n">
        <v>4</v>
      </c>
      <c r="D33" s="23" t="s">
        <v>20</v>
      </c>
      <c r="E33" s="27" t="n">
        <f aca="false">SUM(H6:H25)</f>
        <v>786</v>
      </c>
    </row>
    <row r="34" customFormat="false" ht="15" hidden="false" customHeight="false" outlineLevel="0" collapsed="false">
      <c r="C34" s="0" t="n">
        <v>5</v>
      </c>
      <c r="D34" s="23" t="s">
        <v>21</v>
      </c>
      <c r="E34" s="30" t="n">
        <f aca="false">AVERAGE(J6:J25)</f>
        <v>0.05</v>
      </c>
    </row>
    <row r="35" customFormat="false" ht="90" hidden="false" customHeight="true" outlineLevel="0" collapsed="false">
      <c r="C35" s="0" t="n">
        <v>6</v>
      </c>
      <c r="D35" s="31" t="s">
        <v>22</v>
      </c>
      <c r="E35" s="24" t="n">
        <f aca="false">COUNTIF(H6:H25,"&gt;"&amp;AVERAGE(H6:H25))</f>
        <v>11</v>
      </c>
    </row>
    <row r="36" customFormat="false" ht="90" hidden="false" customHeight="true" outlineLevel="0" collapsed="false">
      <c r="C36" s="0" t="n">
        <v>7</v>
      </c>
      <c r="D36" s="31" t="s">
        <v>23</v>
      </c>
      <c r="E36" s="24" t="n">
        <f aca="false">SUMPRODUCT((M6:M25&lt;0)*(-M6:M25))</f>
        <v>15</v>
      </c>
    </row>
    <row r="37" customFormat="false" ht="90" hidden="false" customHeight="true" outlineLevel="0" collapsed="false">
      <c r="C37" s="0" t="n">
        <v>8</v>
      </c>
      <c r="D37" s="31" t="s">
        <v>24</v>
      </c>
      <c r="E37" s="24" t="n">
        <f aca="false">(YEAR(E25)-YEAR(E6))*12+MONTH(E25)-MONTH(E6)</f>
        <v>9</v>
      </c>
    </row>
  </sheetData>
  <conditionalFormatting sqref="J6:J25">
    <cfRule type="iconSet" priority="2">
      <iconSet iconSet="3Arrows">
        <cfvo type="percent" val="0"/>
        <cfvo type="percent" val="34"/>
        <cfvo type="percent" val="67"/>
      </iconSet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2019-11-29T05:30:46Z</dcterms:created>
  <dc:creator>Uporabnik sistema Windows</dc:creator>
  <dc:description/>
  <dc:language>en-US</dc:language>
  <cp:lastModifiedBy/>
  <dcterms:modified xsi:type="dcterms:W3CDTF">2026-06-03T08:23:57Z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